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105" windowWidth="15180" windowHeight="9870" activeTab="0"/>
  </bookViews>
  <sheets>
    <sheet name="Battery Life comparison" sheetId="1" r:id="rId1"/>
  </sheets>
  <definedNames>
    <definedName name="_xlnm.Print_Area" localSheetId="0">'Battery Life comparison'!$B$2:$K$52</definedName>
  </definedNames>
  <calcPr fullCalcOnLoad="1"/>
</workbook>
</file>

<file path=xl/comments1.xml><?xml version="1.0" encoding="utf-8"?>
<comments xmlns="http://schemas.openxmlformats.org/spreadsheetml/2006/main">
  <authors>
    <author>Jan Finlinson</author>
    <author>Eric Flanders</author>
  </authors>
  <commentList>
    <comment ref="D39" authorId="0">
      <text>
        <r>
          <rPr>
            <b/>
            <sz val="8"/>
            <rFont val="Tahoma"/>
            <family val="0"/>
          </rPr>
          <t xml:space="preserve">Unit selection: 
</t>
        </r>
        <r>
          <rPr>
            <sz val="8"/>
            <rFont val="Tahoma"/>
            <family val="2"/>
          </rPr>
          <t>Select time units used in "Required battery capacity" and "Estimated battery life" calculations.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Scenario Title: </t>
        </r>
        <r>
          <rPr>
            <sz val="8"/>
            <rFont val="Tahoma"/>
            <family val="0"/>
          </rPr>
          <t>Change by editing first word of scenario description at bottom of sheet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Total System Current: 
</t>
        </r>
        <r>
          <rPr>
            <sz val="8"/>
            <rFont val="Tahoma"/>
            <family val="2"/>
          </rPr>
          <t>Enter system Sleep, Idle/Receive and Transmit current demands.</t>
        </r>
      </text>
    </comment>
    <comment ref="C15" authorId="0">
      <text>
        <r>
          <rPr>
            <b/>
            <sz val="8"/>
            <rFont val="Tahoma"/>
            <family val="0"/>
          </rPr>
          <t>Timing:</t>
        </r>
        <r>
          <rPr>
            <sz val="8"/>
            <rFont val="Tahoma"/>
            <family val="0"/>
          </rPr>
          <t xml:space="preserve">
Enter the duration of time a system spends in Sleep, Idle/Receive and Transmit states. </t>
        </r>
      </text>
    </comment>
    <comment ref="C14" authorId="0">
      <text>
        <r>
          <rPr>
            <b/>
            <sz val="8"/>
            <rFont val="Tahoma"/>
            <family val="0"/>
          </rPr>
          <t>Scenarios:</t>
        </r>
        <r>
          <rPr>
            <sz val="8"/>
            <rFont val="Tahoma"/>
            <family val="0"/>
          </rPr>
          <t xml:space="preserve">
This calculator compares up to six power usage scenarios in vertical columns A-F. Configure each scenario by inputting the duration and current consumption for Sleep, Idle/Receive and Transmit states for an entire system. </t>
        </r>
      </text>
    </comment>
    <comment ref="C27" authorId="0">
      <text>
        <r>
          <rPr>
            <b/>
            <sz val="8"/>
            <rFont val="Tahoma"/>
            <family val="0"/>
          </rPr>
          <t>Power usage comparison:</t>
        </r>
        <r>
          <rPr>
            <sz val="8"/>
            <rFont val="Tahoma"/>
            <family val="0"/>
          </rPr>
          <t xml:space="preserve">
Analyze how the current use is distributed among the operating states. Optimizing current use of the most consumptive state yields most improvement.</t>
        </r>
      </text>
    </comment>
    <comment ref="C32" authorId="0">
      <text>
        <r>
          <rPr>
            <b/>
            <sz val="8"/>
            <rFont val="Tahoma"/>
            <family val="0"/>
          </rPr>
          <t>Baseline comparison:</t>
        </r>
        <r>
          <rPr>
            <sz val="8"/>
            <rFont val="Tahoma"/>
            <family val="0"/>
          </rPr>
          <t xml:space="preserve">
Scenarios B-F are shown as a percentage of a baseline Scenario A. </t>
        </r>
      </text>
    </comment>
    <comment ref="C34" authorId="0">
      <text>
        <r>
          <rPr>
            <b/>
            <sz val="8"/>
            <rFont val="Tahoma"/>
            <family val="0"/>
          </rPr>
          <t>Average current:</t>
        </r>
        <r>
          <rPr>
            <sz val="8"/>
            <rFont val="Tahoma"/>
            <family val="0"/>
          </rPr>
          <t xml:space="preserve">
Current calculation result showing average current consumed.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Modem selector: 
</t>
        </r>
        <r>
          <rPr>
            <sz val="8"/>
            <rFont val="Tahoma"/>
            <family val="2"/>
          </rPr>
          <t>Select modem type used in "Transmit" time calculation and specify number of bytes transmitted. Or specify "Transmit" time manually.</t>
        </r>
      </text>
    </comment>
    <comment ref="C36" authorId="0">
      <text>
        <r>
          <rPr>
            <b/>
            <sz val="8"/>
            <rFont val="Tahoma"/>
            <family val="0"/>
          </rPr>
          <t>Design Goals:</t>
        </r>
        <r>
          <rPr>
            <sz val="8"/>
            <rFont val="Tahoma"/>
            <family val="0"/>
          </rPr>
          <t xml:space="preserve">
Specify either target life of battery or a given battery capacity. Also select units of time for displaying Estimated Battery life. </t>
        </r>
      </text>
    </comment>
    <comment ref="C45" authorId="0">
      <text>
        <r>
          <rPr>
            <b/>
            <sz val="8"/>
            <rFont val="Tahoma"/>
            <family val="0"/>
          </rPr>
          <t xml:space="preserve">Scenario descriptions:
</t>
        </r>
        <r>
          <rPr>
            <sz val="8"/>
            <rFont val="Tahoma"/>
            <family val="2"/>
          </rPr>
          <t>Edit the descriptions for the scenarios modeled by the calculator. The first word in the description will be displayed as the scenario column label.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Unit selection: 
</t>
        </r>
        <r>
          <rPr>
            <sz val="8"/>
            <rFont val="Tahoma"/>
            <family val="2"/>
          </rPr>
          <t>Select units of time used for "Sleep" time calculation.</t>
        </r>
      </text>
    </comment>
    <comment ref="C37" authorId="0">
      <text>
        <r>
          <rPr>
            <b/>
            <sz val="8"/>
            <rFont val="Tahoma"/>
            <family val="0"/>
          </rPr>
          <t>System Efficiency:</t>
        </r>
        <r>
          <rPr>
            <sz val="8"/>
            <rFont val="Tahoma"/>
            <family val="0"/>
          </rPr>
          <t xml:space="preserve">
Use the system efficiency parameter to capture the inefficiencies of power supplies and batteries (high current pulses reduce the usable capacity of many batteries).</t>
        </r>
      </text>
    </comment>
    <comment ref="J69" authorId="1">
      <text>
        <r>
          <rPr>
            <b/>
            <sz val="8"/>
            <rFont val="Tahoma"/>
            <family val="0"/>
          </rPr>
          <t xml:space="preserve">The transmit current </t>
        </r>
        <r>
          <rPr>
            <sz val="8"/>
            <rFont val="Tahoma"/>
            <family val="2"/>
          </rPr>
          <t>is software selectable from 1mW to 1W</t>
        </r>
      </text>
    </comment>
    <comment ref="C62" authorId="0">
      <text>
        <r>
          <rPr>
            <b/>
            <sz val="8"/>
            <rFont val="Tahoma"/>
            <family val="0"/>
          </rPr>
          <t>Reference:</t>
        </r>
        <r>
          <rPr>
            <sz val="8"/>
            <rFont val="Tahoma"/>
            <family val="0"/>
          </rPr>
          <t xml:space="preserve">
Current consumption specifications from product datasheets for convenience. (Subject to change - measure for accuracy)</t>
        </r>
      </text>
    </comment>
    <comment ref="E64" authorId="0">
      <text>
        <r>
          <rPr>
            <b/>
            <sz val="8"/>
            <rFont val="Tahoma"/>
            <family val="0"/>
          </rPr>
          <t>XBee pin sleep current:</t>
        </r>
        <r>
          <rPr>
            <sz val="8"/>
            <rFont val="Tahoma"/>
            <family val="0"/>
          </rPr>
          <t xml:space="preserve">
0.010mA pin hibernate
0.050mA pin doze</t>
        </r>
      </text>
    </comment>
    <comment ref="J67" authorId="0">
      <text>
        <r>
          <rPr>
            <b/>
            <sz val="8"/>
            <rFont val="Tahoma"/>
            <family val="0"/>
          </rPr>
          <t>Wake time:</t>
        </r>
        <r>
          <rPr>
            <sz val="8"/>
            <rFont val="Tahoma"/>
            <family val="0"/>
          </rPr>
          <t xml:space="preserve">
30ms @ 115k over the air
150ms@ 9.6k over the air</t>
        </r>
      </text>
    </comment>
    <comment ref="F64" authorId="0">
      <text>
        <r>
          <rPr>
            <b/>
            <sz val="8"/>
            <rFont val="Tahoma"/>
            <family val="0"/>
          </rPr>
          <t>XBee pin sleep current:</t>
        </r>
        <r>
          <rPr>
            <sz val="8"/>
            <rFont val="Tahoma"/>
            <family val="0"/>
          </rPr>
          <t xml:space="preserve">
0.010mA pin hibernate
0.050mA pin doze</t>
        </r>
      </text>
    </comment>
  </commentList>
</comments>
</file>

<file path=xl/sharedStrings.xml><?xml version="1.0" encoding="utf-8"?>
<sst xmlns="http://schemas.openxmlformats.org/spreadsheetml/2006/main" count="94" uniqueCount="79">
  <si>
    <t>A</t>
  </si>
  <si>
    <t>B</t>
  </si>
  <si>
    <t>s</t>
  </si>
  <si>
    <t>mA</t>
  </si>
  <si>
    <t>ms</t>
  </si>
  <si>
    <t>Time</t>
  </si>
  <si>
    <t>%</t>
  </si>
  <si>
    <t>Units</t>
  </si>
  <si>
    <t>C</t>
  </si>
  <si>
    <t>D</t>
  </si>
  <si>
    <t>E</t>
  </si>
  <si>
    <t>F</t>
  </si>
  <si>
    <t>min</t>
  </si>
  <si>
    <t>hr</t>
  </si>
  <si>
    <t>day</t>
  </si>
  <si>
    <t>mo</t>
  </si>
  <si>
    <t>yr</t>
  </si>
  <si>
    <t>mAh</t>
  </si>
  <si>
    <t>System efficiency</t>
  </si>
  <si>
    <t>or</t>
  </si>
  <si>
    <t>% of scenario 'A'</t>
  </si>
  <si>
    <t>Design Goals</t>
  </si>
  <si>
    <r>
      <t>©</t>
    </r>
    <r>
      <rPr>
        <i/>
        <sz val="14"/>
        <color indexed="9"/>
        <rFont val="Arial"/>
        <family val="0"/>
      </rPr>
      <t xml:space="preserve"> MaxStream, Inc.</t>
    </r>
  </si>
  <si>
    <t xml:space="preserve">A - </t>
  </si>
  <si>
    <t xml:space="preserve">B - </t>
  </si>
  <si>
    <t xml:space="preserve">C - </t>
  </si>
  <si>
    <t xml:space="preserve">D - </t>
  </si>
  <si>
    <t xml:space="preserve">E - </t>
  </si>
  <si>
    <t xml:space="preserve">F - </t>
  </si>
  <si>
    <t>Instructions</t>
  </si>
  <si>
    <t>Power usage comparison</t>
  </si>
  <si>
    <t>Scenario descriptions</t>
  </si>
  <si>
    <t>Overview</t>
  </si>
  <si>
    <t>Average current</t>
  </si>
  <si>
    <t>Scenarios</t>
  </si>
  <si>
    <t>Given battery capacity</t>
  </si>
  <si>
    <t>Target battery life</t>
  </si>
  <si>
    <t>Required battery capacity</t>
  </si>
  <si>
    <t>Estimated battery life</t>
  </si>
  <si>
    <r>
      <t xml:space="preserve">Use this calculator to: 
</t>
    </r>
    <r>
      <rPr>
        <b/>
        <sz val="8"/>
        <rFont val="Arial"/>
        <family val="2"/>
      </rPr>
      <t>a)</t>
    </r>
    <r>
      <rPr>
        <sz val="8"/>
        <rFont val="Arial"/>
        <family val="0"/>
      </rPr>
      <t xml:space="preserve"> recommend a battery capacity based on a target battery life
</t>
    </r>
    <r>
      <rPr>
        <b/>
        <sz val="8"/>
        <rFont val="Arial"/>
        <family val="2"/>
      </rPr>
      <t>b)</t>
    </r>
    <r>
      <rPr>
        <sz val="8"/>
        <rFont val="Arial"/>
        <family val="0"/>
      </rPr>
      <t xml:space="preserve"> estimate battery life for a given battery capacity.
</t>
    </r>
    <r>
      <rPr>
        <b/>
        <sz val="8"/>
        <rFont val="Arial"/>
        <family val="2"/>
      </rPr>
      <t>c)</t>
    </r>
    <r>
      <rPr>
        <sz val="8"/>
        <rFont val="Arial"/>
        <family val="0"/>
      </rPr>
      <t xml:space="preserve"> compare several power consumption scenarios.</t>
    </r>
  </si>
  <si>
    <t>Legend: Red &gt; 100%, Green &lt;= 100%</t>
  </si>
  <si>
    <t>Sleep</t>
  </si>
  <si>
    <t>Transmit</t>
  </si>
  <si>
    <t>Idle/Receive</t>
  </si>
  <si>
    <t>Radio type</t>
  </si>
  <si>
    <t>XBee</t>
  </si>
  <si>
    <t>XCite-384</t>
  </si>
  <si>
    <t>XCite-96</t>
  </si>
  <si>
    <t>XStream-96</t>
  </si>
  <si>
    <t>XStream-192</t>
  </si>
  <si>
    <t>XTend-96</t>
  </si>
  <si>
    <t>Details</t>
  </si>
  <si>
    <t>Total System Current</t>
  </si>
  <si>
    <t>Battery Life Calculator v2.2</t>
  </si>
  <si>
    <t>XTend-115k</t>
  </si>
  <si>
    <t># of bytes transmitted</t>
  </si>
  <si>
    <t xml:space="preserve">Scenario_A XB-hibernate </t>
  </si>
  <si>
    <t>Scenario_B XB-doze</t>
  </si>
  <si>
    <t>Reference</t>
  </si>
  <si>
    <t>XBee-PRO</t>
  </si>
  <si>
    <t>9XCite</t>
  </si>
  <si>
    <t>9XStream</t>
  </si>
  <si>
    <t>24XStream</t>
  </si>
  <si>
    <t>9XTend</t>
  </si>
  <si>
    <t>Cyclic Sleep (mA)</t>
  </si>
  <si>
    <t>Idle/Receive (mA)</t>
  </si>
  <si>
    <t>Transmit (mA)</t>
  </si>
  <si>
    <t>n/a</t>
  </si>
  <si>
    <t>110 - 730</t>
  </si>
  <si>
    <t>Serial port Sleep (mA)</t>
  </si>
  <si>
    <t xml:space="preserve">This calculator compares up to six power usage scenarios in vertical columns A-F. Configure each scenario by inputting  the duration and current consumption for Sleep, Idle/Receive and Transmit states for an entire system. 
</t>
  </si>
  <si>
    <t>Cyclic Sleep wake time (ms)</t>
  </si>
  <si>
    <t>30 / 150</t>
  </si>
  <si>
    <t xml:space="preserve">Scenario_C </t>
  </si>
  <si>
    <t xml:space="preserve">Scenario_D </t>
  </si>
  <si>
    <t xml:space="preserve">Scenario_E </t>
  </si>
  <si>
    <t xml:space="preserve">Scenario_F </t>
  </si>
  <si>
    <t>0.010 / 0.050</t>
  </si>
  <si>
    <t>Pin Sleep (mA)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</si>
</sst>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E+00"/>
    <numFmt numFmtId="171" formatCode="0.000E+00"/>
    <numFmt numFmtId="172" formatCode="0.0E+00"/>
    <numFmt numFmtId="173" formatCode="0E+00"/>
    <numFmt numFmtId="174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i/>
      <sz val="14"/>
      <color indexed="9"/>
      <name val="Arial"/>
      <family val="0"/>
    </font>
    <font>
      <sz val="10"/>
      <color indexed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left" indent="1"/>
    </xf>
    <xf numFmtId="10" fontId="0" fillId="2" borderId="0" xfId="21" applyNumberFormat="1" applyFill="1" applyBorder="1" applyAlignment="1">
      <alignment horizontal="center"/>
    </xf>
    <xf numFmtId="9" fontId="0" fillId="2" borderId="0" xfId="2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 indent="3"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15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5" xfId="0" applyFill="1" applyBorder="1" applyAlignment="1">
      <alignment/>
    </xf>
    <xf numFmtId="0" fontId="3" fillId="3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3"/>
    </xf>
    <xf numFmtId="0" fontId="0" fillId="2" borderId="1" xfId="0" applyFill="1" applyBorder="1" applyAlignment="1">
      <alignment horizontal="left" indent="3"/>
    </xf>
    <xf numFmtId="0" fontId="2" fillId="2" borderId="17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indent="1"/>
    </xf>
    <xf numFmtId="0" fontId="7" fillId="2" borderId="19" xfId="0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3"/>
    </xf>
    <xf numFmtId="0" fontId="7" fillId="2" borderId="3" xfId="0" applyFont="1" applyFill="1" applyBorder="1" applyAlignment="1">
      <alignment horizontal="left" indent="1"/>
    </xf>
    <xf numFmtId="0" fontId="7" fillId="2" borderId="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9" fontId="0" fillId="0" borderId="30" xfId="0" applyNumberFormat="1" applyFill="1" applyBorder="1" applyAlignment="1" applyProtection="1">
      <alignment horizontal="center"/>
      <protection locked="0"/>
    </xf>
    <xf numFmtId="9" fontId="0" fillId="0" borderId="31" xfId="0" applyNumberFormat="1" applyFill="1" applyBorder="1" applyAlignment="1" applyProtection="1">
      <alignment horizontal="center"/>
      <protection locked="0"/>
    </xf>
    <xf numFmtId="9" fontId="0" fillId="0" borderId="32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0" fillId="4" borderId="0" xfId="0" applyFill="1" applyAlignment="1" applyProtection="1">
      <alignment/>
      <protection/>
    </xf>
    <xf numFmtId="0" fontId="7" fillId="2" borderId="2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0" fillId="2" borderId="19" xfId="0" applyFill="1" applyBorder="1" applyAlignment="1">
      <alignment/>
    </xf>
    <xf numFmtId="0" fontId="7" fillId="2" borderId="3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0" fillId="0" borderId="38" xfId="0" applyFill="1" applyBorder="1" applyAlignment="1" applyProtection="1">
      <alignment horizontal="center"/>
      <protection hidden="1" locked="0"/>
    </xf>
    <xf numFmtId="0" fontId="0" fillId="0" borderId="2" xfId="0" applyFill="1" applyBorder="1" applyAlignment="1" applyProtection="1">
      <alignment horizontal="center"/>
      <protection hidden="1" locked="0"/>
    </xf>
    <xf numFmtId="0" fontId="0" fillId="0" borderId="39" xfId="0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indent="2"/>
    </xf>
    <xf numFmtId="0" fontId="15" fillId="0" borderId="38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>
      <alignment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horizontal="left" vertical="top"/>
      <protection hidden="1"/>
    </xf>
    <xf numFmtId="0" fontId="1" fillId="2" borderId="3" xfId="0" applyFont="1" applyFill="1" applyBorder="1" applyAlignment="1" applyProtection="1">
      <alignment horizontal="left" vertical="top"/>
      <protection hidden="1"/>
    </xf>
    <xf numFmtId="0" fontId="1" fillId="2" borderId="5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left" vertical="top"/>
      <protection hidden="1"/>
    </xf>
    <xf numFmtId="0" fontId="1" fillId="2" borderId="6" xfId="0" applyFont="1" applyFill="1" applyBorder="1" applyAlignment="1" applyProtection="1">
      <alignment horizontal="left" vertical="top"/>
      <protection hidden="1"/>
    </xf>
    <xf numFmtId="17" fontId="1" fillId="2" borderId="0" xfId="0" applyNumberFormat="1" applyFont="1" applyFill="1" applyAlignment="1" applyProtection="1" quotePrefix="1">
      <alignment horizontal="center" vertical="top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" fillId="4" borderId="40" xfId="0" applyFont="1" applyFill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4" borderId="43" xfId="0" applyFont="1" applyFill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left" vertical="top" wrapText="1" indent="1"/>
      <protection hidden="1"/>
    </xf>
    <xf numFmtId="0" fontId="1" fillId="2" borderId="0" xfId="0" applyFont="1" applyFill="1" applyAlignment="1" applyProtection="1">
      <alignment horizontal="left" vertical="top" indent="1"/>
      <protection hidden="1"/>
    </xf>
    <xf numFmtId="0" fontId="1" fillId="2" borderId="3" xfId="0" applyFont="1" applyFill="1" applyBorder="1" applyAlignment="1" applyProtection="1">
      <alignment horizontal="left" vertical="top" indent="1"/>
      <protection hidden="1"/>
    </xf>
    <xf numFmtId="0" fontId="1" fillId="2" borderId="3" xfId="0" applyFont="1" applyFill="1" applyBorder="1" applyAlignment="1" applyProtection="1">
      <alignment horizontal="left" vertical="top" wrapText="1" indent="1"/>
      <protection hidden="1"/>
    </xf>
    <xf numFmtId="0" fontId="1" fillId="2" borderId="0" xfId="0" applyFont="1" applyFill="1" applyAlignment="1" applyProtection="1">
      <alignment horizontal="left" vertical="top" wrapText="1" indent="1"/>
      <protection hidden="1"/>
    </xf>
    <xf numFmtId="0" fontId="1" fillId="2" borderId="4" xfId="0" applyFont="1" applyFill="1" applyBorder="1" applyAlignment="1" applyProtection="1">
      <alignment horizontal="left" vertical="top" wrapText="1" indent="1"/>
      <protection hidden="1"/>
    </xf>
    <xf numFmtId="0" fontId="1" fillId="2" borderId="5" xfId="0" applyFont="1" applyFill="1" applyBorder="1" applyAlignment="1" applyProtection="1">
      <alignment horizontal="left" vertical="top" wrapText="1" indent="1"/>
      <protection hidden="1"/>
    </xf>
    <xf numFmtId="0" fontId="1" fillId="2" borderId="1" xfId="0" applyFont="1" applyFill="1" applyBorder="1" applyAlignment="1" applyProtection="1">
      <alignment horizontal="left" vertical="top" wrapText="1" indent="1"/>
      <protection hidden="1"/>
    </xf>
    <xf numFmtId="0" fontId="1" fillId="2" borderId="6" xfId="0" applyFont="1" applyFill="1" applyBorder="1" applyAlignment="1" applyProtection="1">
      <alignment horizontal="left" vertical="top" wrapText="1" indent="1"/>
      <protection hidden="1"/>
    </xf>
    <xf numFmtId="0" fontId="1" fillId="4" borderId="46" xfId="0" applyFont="1" applyFill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2" borderId="0" xfId="0" applyFont="1" applyFill="1" applyAlignment="1" applyProtection="1" quotePrefix="1">
      <alignment horizontal="center" vertical="top"/>
      <protection hidden="1"/>
    </xf>
    <xf numFmtId="0" fontId="7" fillId="2" borderId="2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left" vertical="top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37</xdr:row>
      <xdr:rowOff>85725</xdr:rowOff>
    </xdr:from>
    <xdr:to>
      <xdr:col>2</xdr:col>
      <xdr:colOff>1266825</xdr:colOff>
      <xdr:row>39</xdr:row>
      <xdr:rowOff>38100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627822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40</xdr:row>
      <xdr:rowOff>38100</xdr:rowOff>
    </xdr:from>
    <xdr:to>
      <xdr:col>3</xdr:col>
      <xdr:colOff>19050</xdr:colOff>
      <xdr:row>42</xdr:row>
      <xdr:rowOff>19050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716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3</xdr:row>
      <xdr:rowOff>28575</xdr:rowOff>
    </xdr:from>
    <xdr:to>
      <xdr:col>9</xdr:col>
      <xdr:colOff>723900</xdr:colOff>
      <xdr:row>10</xdr:row>
      <xdr:rowOff>304800</xdr:rowOff>
    </xdr:to>
    <xdr:grpSp>
      <xdr:nvGrpSpPr>
        <xdr:cNvPr id="3" name="Group 53"/>
        <xdr:cNvGrpSpPr>
          <a:grpSpLocks/>
        </xdr:cNvGrpSpPr>
      </xdr:nvGrpSpPr>
      <xdr:grpSpPr>
        <a:xfrm>
          <a:off x="2762250" y="609600"/>
          <a:ext cx="3600450" cy="6448425"/>
          <a:chOff x="289" y="681"/>
          <a:chExt cx="378" cy="117"/>
        </a:xfrm>
        <a:solidFill>
          <a:srgbClr val="FFFFFF"/>
        </a:solidFill>
      </xdr:grpSpPr>
      <xdr:sp>
        <xdr:nvSpPr>
          <xdr:cNvPr id="4" name="Line 12"/>
          <xdr:cNvSpPr>
            <a:spLocks/>
          </xdr:cNvSpPr>
        </xdr:nvSpPr>
        <xdr:spPr>
          <a:xfrm>
            <a:off x="322" y="748"/>
            <a:ext cx="3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textlink="$B$17">
        <xdr:nvSpPr>
          <xdr:cNvPr id="5" name="Rectangle 18"/>
          <xdr:cNvSpPr>
            <a:spLocks/>
          </xdr:cNvSpPr>
        </xdr:nvSpPr>
        <xdr:spPr>
          <a:xfrm>
            <a:off x="438" y="720"/>
            <a:ext cx="78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Idle/Receive</a:t>
            </a:r>
          </a:p>
        </xdr:txBody>
      </xdr:sp>
      <xdr:sp textlink="$B$18">
        <xdr:nvSpPr>
          <xdr:cNvPr id="6" name="Rectangle 19"/>
          <xdr:cNvSpPr>
            <a:spLocks/>
          </xdr:cNvSpPr>
        </xdr:nvSpPr>
        <xdr:spPr>
          <a:xfrm>
            <a:off x="516" y="702"/>
            <a:ext cx="7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Transmit</a:t>
            </a:r>
          </a:p>
        </xdr:txBody>
      </xdr:sp>
      <xdr:sp>
        <xdr:nvSpPr>
          <xdr:cNvPr id="7" name="Line 20"/>
          <xdr:cNvSpPr>
            <a:spLocks/>
          </xdr:cNvSpPr>
        </xdr:nvSpPr>
        <xdr:spPr>
          <a:xfrm>
            <a:off x="322" y="765"/>
            <a:ext cx="34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 flipV="1">
            <a:off x="322" y="691"/>
            <a:ext cx="0" cy="7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2"/>
          <xdr:cNvSpPr>
            <a:spLocks/>
          </xdr:cNvSpPr>
        </xdr:nvSpPr>
        <xdr:spPr>
          <a:xfrm>
            <a:off x="311" y="695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>
            <a:off x="332" y="778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6"/>
          <xdr:cNvSpPr>
            <a:spLocks/>
          </xdr:cNvSpPr>
        </xdr:nvSpPr>
        <xdr:spPr>
          <a:xfrm>
            <a:off x="350" y="777"/>
            <a:ext cx="7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time (ms)</a:t>
            </a:r>
          </a:p>
        </xdr:txBody>
      </xdr:sp>
      <xdr:sp>
        <xdr:nvSpPr>
          <xdr:cNvPr id="12" name="Rectangle 27"/>
          <xdr:cNvSpPr>
            <a:spLocks/>
          </xdr:cNvSpPr>
        </xdr:nvSpPr>
        <xdr:spPr>
          <a:xfrm>
            <a:off x="289" y="681"/>
            <a:ext cx="23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current (mA)</a:t>
            </a:r>
          </a:p>
        </xdr:txBody>
      </xdr:sp>
      <xdr:sp textlink="$B$16">
        <xdr:nvSpPr>
          <xdr:cNvPr id="13" name="Rectangle 28"/>
          <xdr:cNvSpPr>
            <a:spLocks/>
          </xdr:cNvSpPr>
        </xdr:nvSpPr>
        <xdr:spPr>
          <a:xfrm>
            <a:off x="343" y="729"/>
            <a:ext cx="7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Sleep</a:t>
            </a:r>
          </a:p>
        </xdr:txBody>
      </xdr:sp>
      <xdr:sp textlink="$B$16">
        <xdr:nvSpPr>
          <xdr:cNvPr id="14" name="Rectangle 52"/>
          <xdr:cNvSpPr>
            <a:spLocks/>
          </xdr:cNvSpPr>
        </xdr:nvSpPr>
        <xdr:spPr>
          <a:xfrm>
            <a:off x="589" y="729"/>
            <a:ext cx="7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Sleep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B1:L72"/>
  <sheetViews>
    <sheetView showRowColHeaders="0" tabSelected="1" showOutlineSymbols="0" workbookViewId="0" topLeftCell="A1">
      <selection activeCell="D16" sqref="D16"/>
    </sheetView>
  </sheetViews>
  <sheetFormatPr defaultColWidth="9.140625" defaultRowHeight="12.75" outlineLevelRow="1"/>
  <cols>
    <col min="1" max="1" width="3.28125" style="31" customWidth="1"/>
    <col min="2" max="2" width="0.85546875" style="31" customWidth="1"/>
    <col min="3" max="3" width="21.421875" style="31" customWidth="1"/>
    <col min="4" max="4" width="5.28125" style="32" bestFit="1" customWidth="1"/>
    <col min="5" max="5" width="11.421875" style="32" customWidth="1"/>
    <col min="6" max="6" width="9.7109375" style="32" bestFit="1" customWidth="1"/>
    <col min="7" max="7" width="10.28125" style="32" customWidth="1"/>
    <col min="8" max="10" width="11.140625" style="31" bestFit="1" customWidth="1"/>
    <col min="11" max="11" width="2.7109375" style="31" customWidth="1"/>
    <col min="12" max="12" width="12.00390625" style="31" bestFit="1" customWidth="1"/>
    <col min="13" max="16384" width="9.140625" style="31" customWidth="1"/>
  </cols>
  <sheetData>
    <row r="1" ht="13.5" thickBot="1">
      <c r="L1" s="32"/>
    </row>
    <row r="2" spans="2:12" ht="19.5" thickBot="1">
      <c r="B2" s="20" t="s">
        <v>53</v>
      </c>
      <c r="C2" s="40"/>
      <c r="D2" s="18"/>
      <c r="E2" s="18"/>
      <c r="F2" s="18"/>
      <c r="G2" s="76"/>
      <c r="H2" s="19"/>
      <c r="I2" s="19"/>
      <c r="J2" s="19"/>
      <c r="K2" s="21" t="s">
        <v>22</v>
      </c>
      <c r="L2" s="32"/>
    </row>
    <row r="3" spans="2:12" ht="12.75">
      <c r="B3" s="81" t="s">
        <v>29</v>
      </c>
      <c r="C3" s="78"/>
      <c r="D3" s="79"/>
      <c r="E3" s="79"/>
      <c r="F3" s="79"/>
      <c r="G3" s="79"/>
      <c r="H3" s="79"/>
      <c r="I3" s="79"/>
      <c r="J3" s="79"/>
      <c r="K3" s="80"/>
      <c r="L3" s="32"/>
    </row>
    <row r="4" spans="2:11" ht="12.75" outlineLevel="1">
      <c r="B4" s="90" t="s">
        <v>32</v>
      </c>
      <c r="C4" s="91"/>
      <c r="D4" s="92"/>
      <c r="E4" s="92"/>
      <c r="F4" s="92"/>
      <c r="G4" s="92"/>
      <c r="H4" s="91"/>
      <c r="I4" s="91"/>
      <c r="J4" s="91"/>
      <c r="K4" s="93"/>
    </row>
    <row r="5" spans="2:11" ht="409.5" outlineLevel="1">
      <c r="B5" s="122" t="s">
        <v>39</v>
      </c>
      <c r="C5" s="123"/>
      <c r="D5" s="123"/>
      <c r="E5" s="123"/>
      <c r="F5" s="92"/>
      <c r="G5" s="92"/>
      <c r="H5" s="91"/>
      <c r="I5" s="91"/>
      <c r="J5" s="91"/>
      <c r="K5" s="93"/>
    </row>
    <row r="6" spans="2:11" ht="12.75" outlineLevel="1">
      <c r="B6" s="124"/>
      <c r="C6" s="123"/>
      <c r="D6" s="123"/>
      <c r="E6" s="123"/>
      <c r="F6" s="92"/>
      <c r="G6" s="92"/>
      <c r="H6" s="91"/>
      <c r="I6" s="91"/>
      <c r="J6" s="91"/>
      <c r="K6" s="93"/>
    </row>
    <row r="7" spans="2:11" ht="12.75" outlineLevel="1">
      <c r="B7" s="124"/>
      <c r="C7" s="123"/>
      <c r="D7" s="123"/>
      <c r="E7" s="123"/>
      <c r="F7" s="92"/>
      <c r="G7" s="92"/>
      <c r="H7" s="91"/>
      <c r="I7" s="91"/>
      <c r="J7" s="91"/>
      <c r="K7" s="93"/>
    </row>
    <row r="8" spans="2:11" ht="12.75" outlineLevel="1">
      <c r="B8" s="124"/>
      <c r="C8" s="123"/>
      <c r="D8" s="123"/>
      <c r="E8" s="123"/>
      <c r="F8" s="92"/>
      <c r="G8" s="92"/>
      <c r="H8" s="91"/>
      <c r="I8" s="91"/>
      <c r="J8" s="91"/>
      <c r="K8" s="93"/>
    </row>
    <row r="9" spans="2:11" ht="12.75" outlineLevel="1">
      <c r="B9" s="124"/>
      <c r="C9" s="123"/>
      <c r="D9" s="123"/>
      <c r="E9" s="123"/>
      <c r="F9" s="92"/>
      <c r="G9" s="92"/>
      <c r="H9" s="91"/>
      <c r="I9" s="91"/>
      <c r="J9" s="91"/>
      <c r="K9" s="93"/>
    </row>
    <row r="10" spans="2:11" ht="12.75" outlineLevel="1">
      <c r="B10" s="94" t="s">
        <v>51</v>
      </c>
      <c r="C10" s="91"/>
      <c r="D10" s="92"/>
      <c r="E10" s="92"/>
      <c r="F10" s="92"/>
      <c r="G10" s="92"/>
      <c r="H10" s="91"/>
      <c r="I10" s="91"/>
      <c r="J10" s="91"/>
      <c r="K10" s="93"/>
    </row>
    <row r="11" spans="2:11" ht="409.5" outlineLevel="1">
      <c r="B11" s="125" t="s">
        <v>70</v>
      </c>
      <c r="C11" s="126"/>
      <c r="D11" s="126"/>
      <c r="E11" s="126"/>
      <c r="F11" s="126"/>
      <c r="G11" s="126"/>
      <c r="H11" s="126"/>
      <c r="I11" s="126"/>
      <c r="J11" s="126"/>
      <c r="K11" s="127"/>
    </row>
    <row r="12" spans="2:11" ht="12.75" outlineLevel="1">
      <c r="B12" s="125"/>
      <c r="C12" s="126"/>
      <c r="D12" s="126"/>
      <c r="E12" s="126"/>
      <c r="F12" s="126"/>
      <c r="G12" s="126"/>
      <c r="H12" s="126"/>
      <c r="I12" s="126"/>
      <c r="J12" s="126"/>
      <c r="K12" s="127"/>
    </row>
    <row r="13" spans="2:11" ht="13.5" outlineLevel="1" thickBot="1">
      <c r="B13" s="128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2:11" ht="12.75">
      <c r="B14" s="58" t="s">
        <v>34</v>
      </c>
      <c r="C14" s="41"/>
      <c r="D14" s="22"/>
      <c r="E14" s="50" t="s">
        <v>0</v>
      </c>
      <c r="F14" s="50" t="s">
        <v>1</v>
      </c>
      <c r="G14" s="50" t="s">
        <v>8</v>
      </c>
      <c r="H14" s="50" t="s">
        <v>9</v>
      </c>
      <c r="I14" s="50" t="s">
        <v>10</v>
      </c>
      <c r="J14" s="50" t="s">
        <v>11</v>
      </c>
      <c r="K14" s="23"/>
    </row>
    <row r="15" spans="2:11" ht="12.75">
      <c r="B15" s="53" t="s">
        <v>5</v>
      </c>
      <c r="C15" s="42"/>
      <c r="D15" s="1" t="s">
        <v>7</v>
      </c>
      <c r="E15" s="99" t="str">
        <f>LEFT($C$46,IF(ISERROR(FIND(" ",$C$46,1)),12,FIND(" ",$C$46,1)))</f>
        <v>Scenario_A </v>
      </c>
      <c r="F15" s="99" t="str">
        <f>LEFT($C$47,IF(ISERROR(FIND(" ",$C$47,1)),12,FIND(" ",$C$47,1)))</f>
        <v>Scenario_B </v>
      </c>
      <c r="G15" s="99" t="str">
        <f>LEFT($C$48,IF(ISERROR(FIND(" ",$C$48,1)),12,FIND(" ",$C$48,1)))</f>
        <v>Scenario_C </v>
      </c>
      <c r="H15" s="99" t="str">
        <f>LEFT($C$49,IF(ISERROR(FIND(" ",$C$49,1)),12,FIND(" ",$C$49,1)))</f>
        <v>Scenario_D </v>
      </c>
      <c r="I15" s="99" t="str">
        <f>LEFT($C$50,IF(ISERROR(FIND(" ",$C$50,1)),12,FIND(" ",$C$50,1)))</f>
        <v>Scenario_E </v>
      </c>
      <c r="J15" s="99" t="str">
        <f>LEFT($C$51,IF(ISERROR(FIND(" ",$C$51,1)),12,FIND(" ",$C$51,1)))</f>
        <v>Scenario_F </v>
      </c>
      <c r="K15" s="8"/>
    </row>
    <row r="16" spans="2:11" ht="12.75">
      <c r="B16" s="54" t="s">
        <v>41</v>
      </c>
      <c r="C16" s="43"/>
      <c r="D16" s="98" t="s">
        <v>2</v>
      </c>
      <c r="E16" s="83">
        <v>16</v>
      </c>
      <c r="F16" s="84">
        <f>$E16</f>
        <v>16</v>
      </c>
      <c r="G16" s="84"/>
      <c r="H16" s="84"/>
      <c r="I16" s="84"/>
      <c r="J16" s="85"/>
      <c r="K16" s="8"/>
    </row>
    <row r="17" spans="2:11" ht="12.75">
      <c r="B17" s="54" t="s">
        <v>43</v>
      </c>
      <c r="C17" s="43"/>
      <c r="D17" s="29" t="s">
        <v>4</v>
      </c>
      <c r="E17" s="86">
        <v>40</v>
      </c>
      <c r="F17" s="82">
        <v>5</v>
      </c>
      <c r="G17" s="82"/>
      <c r="H17" s="82"/>
      <c r="I17" s="82"/>
      <c r="J17" s="87"/>
      <c r="K17" s="8"/>
    </row>
    <row r="18" spans="2:11" ht="12.75">
      <c r="B18" s="54" t="s">
        <v>42</v>
      </c>
      <c r="C18" s="43"/>
      <c r="D18" s="30" t="s">
        <v>4</v>
      </c>
      <c r="E18" s="95">
        <f aca="true" t="shared" si="0" ref="E18:J18">IF(E19&lt;&gt;"",(VLOOKUP(E19,$G$54:$I$60,2,0)+E20-1)*VLOOKUP(E19,$G$54:$I$60,3,0),"")</f>
        <v>4.292</v>
      </c>
      <c r="F18" s="96">
        <f t="shared" si="0"/>
        <v>4.292</v>
      </c>
      <c r="G18" s="96">
        <f t="shared" si="0"/>
      </c>
      <c r="H18" s="96">
        <f t="shared" si="0"/>
      </c>
      <c r="I18" s="96">
        <f t="shared" si="0"/>
      </c>
      <c r="J18" s="97">
        <f t="shared" si="0"/>
      </c>
      <c r="K18" s="8"/>
    </row>
    <row r="19" spans="2:11" ht="12.75" outlineLevel="1">
      <c r="B19" s="100" t="s">
        <v>44</v>
      </c>
      <c r="C19" s="43"/>
      <c r="D19" s="30"/>
      <c r="E19" s="104" t="s">
        <v>45</v>
      </c>
      <c r="F19" s="105" t="s">
        <v>45</v>
      </c>
      <c r="G19" s="105"/>
      <c r="H19" s="105"/>
      <c r="I19" s="105"/>
      <c r="J19" s="106"/>
      <c r="K19" s="8"/>
    </row>
    <row r="20" spans="2:11" ht="12.75" outlineLevel="1">
      <c r="B20" s="100" t="s">
        <v>55</v>
      </c>
      <c r="C20" s="43"/>
      <c r="D20" s="30"/>
      <c r="E20" s="101">
        <v>32</v>
      </c>
      <c r="F20" s="102">
        <f>$E20</f>
        <v>32</v>
      </c>
      <c r="G20" s="102"/>
      <c r="H20" s="102"/>
      <c r="I20" s="102"/>
      <c r="J20" s="103"/>
      <c r="K20" s="8"/>
    </row>
    <row r="21" spans="2:11" ht="12.75">
      <c r="B21" s="28"/>
      <c r="C21" s="44"/>
      <c r="D21" s="1"/>
      <c r="E21" s="1"/>
      <c r="F21" s="1"/>
      <c r="G21" s="1"/>
      <c r="H21" s="1"/>
      <c r="I21" s="1"/>
      <c r="J21" s="1"/>
      <c r="K21" s="8"/>
    </row>
    <row r="22" spans="2:11" ht="12.75">
      <c r="B22" s="53" t="s">
        <v>52</v>
      </c>
      <c r="C22" s="42"/>
      <c r="D22" s="1"/>
      <c r="E22" s="3"/>
      <c r="F22" s="3"/>
      <c r="G22" s="3"/>
      <c r="H22" s="3"/>
      <c r="I22" s="3"/>
      <c r="J22" s="3"/>
      <c r="K22" s="8"/>
    </row>
    <row r="23" spans="2:11" ht="12.75">
      <c r="B23" s="54" t="str">
        <f>B16</f>
        <v>Sleep</v>
      </c>
      <c r="C23" s="43"/>
      <c r="D23" s="1" t="s">
        <v>3</v>
      </c>
      <c r="E23" s="59">
        <v>0.002</v>
      </c>
      <c r="F23" s="60">
        <v>0.03</v>
      </c>
      <c r="G23" s="60"/>
      <c r="H23" s="60"/>
      <c r="I23" s="60"/>
      <c r="J23" s="61"/>
      <c r="K23" s="8"/>
    </row>
    <row r="24" spans="2:11" ht="12.75">
      <c r="B24" s="54" t="str">
        <f>B17</f>
        <v>Idle/Receive</v>
      </c>
      <c r="C24" s="43"/>
      <c r="D24" s="1" t="s">
        <v>3</v>
      </c>
      <c r="E24" s="62">
        <v>45</v>
      </c>
      <c r="F24" s="63">
        <v>45</v>
      </c>
      <c r="G24" s="63"/>
      <c r="H24" s="63"/>
      <c r="I24" s="63"/>
      <c r="J24" s="64"/>
      <c r="K24" s="8"/>
    </row>
    <row r="25" spans="2:11" ht="12.75">
      <c r="B25" s="54" t="str">
        <f>B18</f>
        <v>Transmit</v>
      </c>
      <c r="C25" s="43"/>
      <c r="D25" s="1" t="s">
        <v>3</v>
      </c>
      <c r="E25" s="65">
        <v>40</v>
      </c>
      <c r="F25" s="66">
        <v>40</v>
      </c>
      <c r="G25" s="66"/>
      <c r="H25" s="66"/>
      <c r="I25" s="66"/>
      <c r="J25" s="67"/>
      <c r="K25" s="8"/>
    </row>
    <row r="26" spans="2:11" ht="12.75">
      <c r="B26" s="28"/>
      <c r="C26" s="44"/>
      <c r="D26" s="1"/>
      <c r="E26" s="1"/>
      <c r="F26" s="1"/>
      <c r="G26" s="1"/>
      <c r="H26" s="1"/>
      <c r="I26" s="1"/>
      <c r="J26" s="1"/>
      <c r="K26" s="8"/>
    </row>
    <row r="27" spans="2:11" ht="12.75">
      <c r="B27" s="53" t="s">
        <v>30</v>
      </c>
      <c r="C27" s="42"/>
      <c r="D27" s="1"/>
      <c r="E27" s="5"/>
      <c r="F27" s="1"/>
      <c r="G27" s="1"/>
      <c r="H27" s="1"/>
      <c r="I27" s="1"/>
      <c r="J27" s="1"/>
      <c r="K27" s="8"/>
    </row>
    <row r="28" spans="2:11" ht="12.75">
      <c r="B28" s="54" t="str">
        <f>B16</f>
        <v>Sleep</v>
      </c>
      <c r="C28" s="43"/>
      <c r="D28" s="1" t="s">
        <v>6</v>
      </c>
      <c r="E28" s="10">
        <f aca="true" t="shared" si="1" ref="E28:I30">IF(OR(SUMPRODUCT(E$16:E$18,E$23:E$25)=0,E$18=""),0,E23*E16*VLOOKUP($D16,$D$54:$E$60,2,0)/(E$16*VLOOKUP($D$16,$D$54:$E$60,2,0)+E$17+E$18)/E$34)</f>
        <v>0.015970614070110994</v>
      </c>
      <c r="F28" s="10">
        <f t="shared" si="1"/>
        <v>0.5475201898069991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>
        <f>IF(OR(SUMPRODUCT(J$16:J$18,J$23:J$25)=0,J$18=""),0,J23*J16*VLOOKUP($D16,$D$54:$E$60,2,0)/(J$16*VLOOKUP($D$16,$D$54:$E$60,2,0)+J$17+J$18)/J$34)</f>
        <v>0</v>
      </c>
      <c r="K28" s="8"/>
    </row>
    <row r="29" spans="2:11" ht="12.75">
      <c r="B29" s="54" t="str">
        <f>B17</f>
        <v>Idle/Receive</v>
      </c>
      <c r="C29" s="43"/>
      <c r="D29" s="1" t="s">
        <v>6</v>
      </c>
      <c r="E29" s="10">
        <f t="shared" si="1"/>
        <v>0.8983470414437436</v>
      </c>
      <c r="F29" s="10">
        <f t="shared" si="1"/>
        <v>0.25665008897203084</v>
      </c>
      <c r="G29" s="10">
        <f t="shared" si="1"/>
        <v>0</v>
      </c>
      <c r="H29" s="10">
        <f t="shared" si="1"/>
        <v>0</v>
      </c>
      <c r="I29" s="10">
        <f t="shared" si="1"/>
        <v>0</v>
      </c>
      <c r="J29" s="10">
        <f>IF(OR(SUMPRODUCT(J$16:J$18,J$23:J$25)=0,J$18=""),0,J24*J17*VLOOKUP($D17,$D$54:$E$60,2,0)/(J$16*VLOOKUP($D$16,$D$54:$E$60,2,0)+J$17+J$18)/J$34)</f>
        <v>0</v>
      </c>
      <c r="K29" s="8"/>
    </row>
    <row r="30" spans="2:11" ht="12.75">
      <c r="B30" s="54" t="str">
        <f>B18</f>
        <v>Transmit</v>
      </c>
      <c r="C30" s="43"/>
      <c r="D30" s="1" t="s">
        <v>6</v>
      </c>
      <c r="E30" s="10">
        <f t="shared" si="1"/>
        <v>0.08568234448614549</v>
      </c>
      <c r="F30" s="10">
        <f t="shared" si="1"/>
        <v>0.19582972122097003</v>
      </c>
      <c r="G30" s="10">
        <f t="shared" si="1"/>
        <v>0</v>
      </c>
      <c r="H30" s="10">
        <f t="shared" si="1"/>
        <v>0</v>
      </c>
      <c r="I30" s="10">
        <f t="shared" si="1"/>
        <v>0</v>
      </c>
      <c r="J30" s="10">
        <f>IF(OR(SUMPRODUCT(J$16:J$18,J$23:J$25)=0,J$18=""),0,J25*J18*VLOOKUP($D18,$D$54:$E$60,2,0)/(J$16*VLOOKUP($D$16,$D$54:$E$60,2,0)+J$17+J$18)/J$34)</f>
        <v>0</v>
      </c>
      <c r="K30" s="8"/>
    </row>
    <row r="31" spans="2:11" ht="12.75">
      <c r="B31" s="9"/>
      <c r="C31" s="43"/>
      <c r="D31" s="1"/>
      <c r="E31" s="74"/>
      <c r="F31" s="74"/>
      <c r="G31" s="1"/>
      <c r="H31" s="1"/>
      <c r="I31" s="1"/>
      <c r="J31" s="75" t="s">
        <v>40</v>
      </c>
      <c r="K31" s="8"/>
    </row>
    <row r="32" spans="2:11" ht="12.75">
      <c r="B32" s="54" t="s">
        <v>20</v>
      </c>
      <c r="C32" s="43"/>
      <c r="D32" s="1"/>
      <c r="E32" s="1"/>
      <c r="F32" s="11">
        <f>IF($E$34&lt;&gt;0,F34/$E34,0)</f>
        <v>0.4384914878724986</v>
      </c>
      <c r="G32" s="11">
        <f>IF($E$34&lt;&gt;0,G34/$E34,0)</f>
        <v>0</v>
      </c>
      <c r="H32" s="11">
        <f>IF($E$34&lt;&gt;0,H34/$E34,0)</f>
        <v>0</v>
      </c>
      <c r="I32" s="11">
        <f>IF($E$34&lt;&gt;0,I34/$E34,0)</f>
        <v>0</v>
      </c>
      <c r="J32" s="11">
        <f>IF($E$34&lt;&gt;0,J34/$E34,0)</f>
        <v>0</v>
      </c>
      <c r="K32" s="8"/>
    </row>
    <row r="33" spans="2:11" ht="12.75">
      <c r="B33" s="28"/>
      <c r="C33" s="44"/>
      <c r="D33" s="1"/>
      <c r="E33" s="1"/>
      <c r="F33" s="1"/>
      <c r="G33" s="1"/>
      <c r="H33" s="1"/>
      <c r="I33" s="1"/>
      <c r="J33" s="1"/>
      <c r="K33" s="8"/>
    </row>
    <row r="34" spans="2:11" s="33" customFormat="1" ht="12.75">
      <c r="B34" s="53" t="s">
        <v>33</v>
      </c>
      <c r="C34" s="42"/>
      <c r="D34" s="12" t="s">
        <v>3</v>
      </c>
      <c r="E34" s="13">
        <f aca="true" t="shared" si="2" ref="E34:J34">IF(OR(SUM(E$16:E$18)=0,E$18=""),0,SUM(E25*E18,E24*E17,E23*E16*VLOOKUP($D16,$D$54:$E$60,2,0))/(E18+E17+E16*VLOOKUP($D16,$D$54:$E$60,2,0)))</f>
        <v>0.12488428906679086</v>
      </c>
      <c r="F34" s="13">
        <f t="shared" si="2"/>
        <v>0.05476069772479633</v>
      </c>
      <c r="G34" s="13">
        <f t="shared" si="2"/>
        <v>0</v>
      </c>
      <c r="H34" s="13">
        <f t="shared" si="2"/>
        <v>0</v>
      </c>
      <c r="I34" s="13">
        <f t="shared" si="2"/>
        <v>0</v>
      </c>
      <c r="J34" s="13">
        <f t="shared" si="2"/>
        <v>0</v>
      </c>
      <c r="K34" s="14"/>
    </row>
    <row r="35" spans="2:11" ht="13.5" thickBot="1">
      <c r="B35" s="24"/>
      <c r="C35" s="26"/>
      <c r="D35" s="25"/>
      <c r="E35" s="25"/>
      <c r="F35" s="25"/>
      <c r="G35" s="25"/>
      <c r="H35" s="26"/>
      <c r="I35" s="26"/>
      <c r="J35" s="26"/>
      <c r="K35" s="27"/>
    </row>
    <row r="36" spans="2:11" ht="13.5" thickTop="1">
      <c r="B36" s="57" t="s">
        <v>21</v>
      </c>
      <c r="C36" s="45"/>
      <c r="D36" s="1"/>
      <c r="E36" s="1"/>
      <c r="F36" s="1"/>
      <c r="G36" s="1"/>
      <c r="H36" s="6"/>
      <c r="I36" s="6"/>
      <c r="J36" s="6"/>
      <c r="K36" s="8"/>
    </row>
    <row r="37" spans="2:11" ht="12.75">
      <c r="B37" s="54" t="s">
        <v>18</v>
      </c>
      <c r="C37" s="43"/>
      <c r="D37" s="1"/>
      <c r="E37" s="68">
        <v>0.9</v>
      </c>
      <c r="F37" s="69">
        <f>$E37</f>
        <v>0.9</v>
      </c>
      <c r="G37" s="69">
        <f>$E37</f>
        <v>0.9</v>
      </c>
      <c r="H37" s="69">
        <f>$E37</f>
        <v>0.9</v>
      </c>
      <c r="I37" s="69">
        <f>$E37</f>
        <v>0.9</v>
      </c>
      <c r="J37" s="70">
        <f>$E37</f>
        <v>0.9</v>
      </c>
      <c r="K37" s="8"/>
    </row>
    <row r="38" spans="2:11" ht="12.75">
      <c r="B38" s="9"/>
      <c r="C38" s="43"/>
      <c r="D38" s="1"/>
      <c r="E38" s="1"/>
      <c r="F38" s="1"/>
      <c r="G38" s="1"/>
      <c r="H38" s="6"/>
      <c r="I38" s="6"/>
      <c r="J38" s="6"/>
      <c r="K38" s="8"/>
    </row>
    <row r="39" spans="2:11" ht="12.75">
      <c r="B39" s="54" t="s">
        <v>36</v>
      </c>
      <c r="C39" s="43"/>
      <c r="D39" s="35" t="s">
        <v>16</v>
      </c>
      <c r="E39" s="71">
        <v>2</v>
      </c>
      <c r="F39" s="72">
        <f>$E39</f>
        <v>2</v>
      </c>
      <c r="G39" s="72">
        <f>$E39</f>
        <v>2</v>
      </c>
      <c r="H39" s="72">
        <f>$E39</f>
        <v>2</v>
      </c>
      <c r="I39" s="72">
        <f>$E39</f>
        <v>2</v>
      </c>
      <c r="J39" s="73">
        <f>$E39</f>
        <v>2</v>
      </c>
      <c r="K39" s="8"/>
    </row>
    <row r="40" spans="2:11" s="33" customFormat="1" ht="12.75">
      <c r="B40" s="56" t="s">
        <v>37</v>
      </c>
      <c r="C40" s="46"/>
      <c r="D40" s="12" t="s">
        <v>17</v>
      </c>
      <c r="E40" s="15">
        <f aca="true" t="shared" si="3" ref="E40:J40">IF(E37&lt;&gt;0,E34/E37*E39*VLOOKUP($D39,$D$54:$E$60,2,0)/$E$57,0)</f>
        <v>2432.745951021086</v>
      </c>
      <c r="F40" s="15">
        <f t="shared" si="3"/>
        <v>1066.7383916790325</v>
      </c>
      <c r="G40" s="15">
        <f t="shared" si="3"/>
        <v>0</v>
      </c>
      <c r="H40" s="15">
        <f t="shared" si="3"/>
        <v>0</v>
      </c>
      <c r="I40" s="15">
        <f t="shared" si="3"/>
        <v>0</v>
      </c>
      <c r="J40" s="15">
        <f t="shared" si="3"/>
        <v>0</v>
      </c>
      <c r="K40" s="14"/>
    </row>
    <row r="41" spans="2:11" ht="12.75">
      <c r="B41" s="55" t="s">
        <v>19</v>
      </c>
      <c r="C41" s="47"/>
      <c r="D41" s="1"/>
      <c r="E41" s="1"/>
      <c r="F41" s="1"/>
      <c r="G41" s="1"/>
      <c r="H41" s="6"/>
      <c r="I41" s="6"/>
      <c r="J41" s="6"/>
      <c r="K41" s="8"/>
    </row>
    <row r="42" spans="2:11" ht="12.75">
      <c r="B42" s="54" t="s">
        <v>35</v>
      </c>
      <c r="C42" s="43"/>
      <c r="D42" s="1" t="s">
        <v>17</v>
      </c>
      <c r="E42" s="71">
        <v>2000</v>
      </c>
      <c r="F42" s="72">
        <f>$E42</f>
        <v>2000</v>
      </c>
      <c r="G42" s="72">
        <f>$E42</f>
        <v>2000</v>
      </c>
      <c r="H42" s="72">
        <f>$E42</f>
        <v>2000</v>
      </c>
      <c r="I42" s="72">
        <f>$E42</f>
        <v>2000</v>
      </c>
      <c r="J42" s="73">
        <f>$E42</f>
        <v>2000</v>
      </c>
      <c r="K42" s="8"/>
    </row>
    <row r="43" spans="2:11" s="33" customFormat="1" ht="12.75">
      <c r="B43" s="56" t="s">
        <v>38</v>
      </c>
      <c r="C43" s="46"/>
      <c r="D43" s="34" t="str">
        <f>D39</f>
        <v>yr</v>
      </c>
      <c r="E43" s="15">
        <f aca="true" t="shared" si="4" ref="E43:J43">IF(AND(E34&lt;&gt;0,E37&lt;&gt;0),(E42*$E$57)/(E34*VLOOKUP($D43,$D$54:$E$60,2,0)/E37),0)</f>
        <v>1.6442325177115586</v>
      </c>
      <c r="F43" s="15">
        <f t="shared" si="4"/>
        <v>3.7497478587079365</v>
      </c>
      <c r="G43" s="15">
        <f t="shared" si="4"/>
        <v>0</v>
      </c>
      <c r="H43" s="15">
        <f t="shared" si="4"/>
        <v>0</v>
      </c>
      <c r="I43" s="15">
        <f t="shared" si="4"/>
        <v>0</v>
      </c>
      <c r="J43" s="15">
        <f t="shared" si="4"/>
        <v>0</v>
      </c>
      <c r="K43" s="14"/>
    </row>
    <row r="44" spans="2:11" ht="13.5" thickBot="1">
      <c r="B44" s="16"/>
      <c r="C44" s="48"/>
      <c r="D44" s="2"/>
      <c r="E44" s="2"/>
      <c r="F44" s="2"/>
      <c r="G44" s="2"/>
      <c r="H44" s="4"/>
      <c r="I44" s="4"/>
      <c r="J44" s="4"/>
      <c r="K44" s="17"/>
    </row>
    <row r="45" spans="2:11" ht="12.75">
      <c r="B45" s="52" t="s">
        <v>31</v>
      </c>
      <c r="C45" s="49"/>
      <c r="D45" s="36"/>
      <c r="E45" s="36"/>
      <c r="F45" s="36"/>
      <c r="G45" s="36"/>
      <c r="H45" s="37"/>
      <c r="I45" s="37"/>
      <c r="J45" s="37"/>
      <c r="K45" s="38"/>
    </row>
    <row r="46" spans="2:11" ht="12.75" outlineLevel="1">
      <c r="B46" s="51" t="s">
        <v>23</v>
      </c>
      <c r="C46" s="131" t="s">
        <v>56</v>
      </c>
      <c r="D46" s="132"/>
      <c r="E46" s="132"/>
      <c r="F46" s="132"/>
      <c r="G46" s="132"/>
      <c r="H46" s="132"/>
      <c r="I46" s="132"/>
      <c r="J46" s="133"/>
      <c r="K46" s="8"/>
    </row>
    <row r="47" spans="2:11" ht="12.75" outlineLevel="1">
      <c r="B47" s="51" t="s">
        <v>24</v>
      </c>
      <c r="C47" s="116" t="s">
        <v>57</v>
      </c>
      <c r="D47" s="117"/>
      <c r="E47" s="117"/>
      <c r="F47" s="117"/>
      <c r="G47" s="117"/>
      <c r="H47" s="117"/>
      <c r="I47" s="117"/>
      <c r="J47" s="118"/>
      <c r="K47" s="8"/>
    </row>
    <row r="48" spans="2:11" ht="12.75" outlineLevel="1">
      <c r="B48" s="51" t="s">
        <v>25</v>
      </c>
      <c r="C48" s="116" t="s">
        <v>73</v>
      </c>
      <c r="D48" s="117"/>
      <c r="E48" s="117"/>
      <c r="F48" s="117"/>
      <c r="G48" s="117"/>
      <c r="H48" s="117"/>
      <c r="I48" s="117"/>
      <c r="J48" s="118"/>
      <c r="K48" s="8"/>
    </row>
    <row r="49" spans="2:11" ht="12.75" outlineLevel="1">
      <c r="B49" s="51" t="s">
        <v>26</v>
      </c>
      <c r="C49" s="116" t="s">
        <v>74</v>
      </c>
      <c r="D49" s="117"/>
      <c r="E49" s="117"/>
      <c r="F49" s="117"/>
      <c r="G49" s="117"/>
      <c r="H49" s="117"/>
      <c r="I49" s="117"/>
      <c r="J49" s="118"/>
      <c r="K49" s="8"/>
    </row>
    <row r="50" spans="2:11" ht="12.75" outlineLevel="1">
      <c r="B50" s="51" t="s">
        <v>27</v>
      </c>
      <c r="C50" s="116" t="s">
        <v>75</v>
      </c>
      <c r="D50" s="117"/>
      <c r="E50" s="117"/>
      <c r="F50" s="117"/>
      <c r="G50" s="117"/>
      <c r="H50" s="117"/>
      <c r="I50" s="117"/>
      <c r="J50" s="118"/>
      <c r="K50" s="8"/>
    </row>
    <row r="51" spans="2:11" ht="12.75" outlineLevel="1">
      <c r="B51" s="51" t="s">
        <v>28</v>
      </c>
      <c r="C51" s="119" t="s">
        <v>76</v>
      </c>
      <c r="D51" s="120"/>
      <c r="E51" s="120"/>
      <c r="F51" s="120"/>
      <c r="G51" s="120"/>
      <c r="H51" s="120"/>
      <c r="I51" s="120"/>
      <c r="J51" s="121"/>
      <c r="K51" s="8"/>
    </row>
    <row r="52" spans="2:11" ht="13.5" thickBot="1">
      <c r="B52" s="39"/>
      <c r="C52" s="4"/>
      <c r="D52" s="2"/>
      <c r="E52" s="2"/>
      <c r="F52" s="2"/>
      <c r="G52" s="2"/>
      <c r="H52" s="4"/>
      <c r="I52" s="4"/>
      <c r="J52" s="4"/>
      <c r="K52" s="17"/>
    </row>
    <row r="53" spans="2:11" ht="12.75" hidden="1">
      <c r="B53" s="89"/>
      <c r="C53" s="37"/>
      <c r="D53" s="36"/>
      <c r="E53" s="36"/>
      <c r="F53" s="36"/>
      <c r="G53" s="36"/>
      <c r="H53" s="37"/>
      <c r="I53" s="37"/>
      <c r="J53" s="37"/>
      <c r="K53" s="38"/>
    </row>
    <row r="54" spans="2:11" ht="12.75" hidden="1">
      <c r="B54" s="7"/>
      <c r="C54" s="6"/>
      <c r="D54" s="1" t="s">
        <v>4</v>
      </c>
      <c r="E54" s="1">
        <v>1</v>
      </c>
      <c r="F54" s="1"/>
      <c r="G54" s="88" t="s">
        <v>45</v>
      </c>
      <c r="H54" s="6">
        <f>3.3/I54</f>
        <v>103.12499999999999</v>
      </c>
      <c r="I54" s="6">
        <f>1/250*8</f>
        <v>0.032</v>
      </c>
      <c r="J54" s="6"/>
      <c r="K54" s="8"/>
    </row>
    <row r="55" spans="2:11" ht="12.75" hidden="1">
      <c r="B55" s="7"/>
      <c r="C55" s="6"/>
      <c r="D55" s="1" t="s">
        <v>2</v>
      </c>
      <c r="E55" s="1">
        <f>E54*1000</f>
        <v>1000</v>
      </c>
      <c r="F55" s="1"/>
      <c r="G55" s="88" t="s">
        <v>47</v>
      </c>
      <c r="H55" s="6">
        <f>48/I55</f>
        <v>60</v>
      </c>
      <c r="I55" s="6">
        <f>1/10*8</f>
        <v>0.8</v>
      </c>
      <c r="J55" s="6"/>
      <c r="K55" s="8"/>
    </row>
    <row r="56" spans="2:11" ht="12.75" hidden="1">
      <c r="B56" s="7"/>
      <c r="C56" s="6"/>
      <c r="D56" s="1" t="s">
        <v>12</v>
      </c>
      <c r="E56" s="1">
        <f>E55*60</f>
        <v>60000</v>
      </c>
      <c r="F56" s="1"/>
      <c r="G56" s="88" t="s">
        <v>46</v>
      </c>
      <c r="H56" s="6">
        <f>13/I56</f>
        <v>65</v>
      </c>
      <c r="I56" s="6">
        <f>1/40*8</f>
        <v>0.2</v>
      </c>
      <c r="J56" s="6"/>
      <c r="K56" s="8"/>
    </row>
    <row r="57" spans="2:11" ht="12.75" hidden="1">
      <c r="B57" s="7"/>
      <c r="C57" s="6"/>
      <c r="D57" s="1" t="s">
        <v>13</v>
      </c>
      <c r="E57" s="1">
        <f>E56*60</f>
        <v>3600000</v>
      </c>
      <c r="F57" s="1"/>
      <c r="G57" s="88" t="s">
        <v>48</v>
      </c>
      <c r="H57" s="6">
        <f>48/I57</f>
        <v>60</v>
      </c>
      <c r="I57" s="6">
        <f>1/10*8</f>
        <v>0.8</v>
      </c>
      <c r="J57" s="6"/>
      <c r="K57" s="8"/>
    </row>
    <row r="58" spans="2:11" ht="12.75" hidden="1">
      <c r="B58" s="7"/>
      <c r="C58" s="6"/>
      <c r="D58" s="1" t="s">
        <v>14</v>
      </c>
      <c r="E58" s="1">
        <f>E57*24</f>
        <v>86400000</v>
      </c>
      <c r="F58" s="1"/>
      <c r="G58" s="88" t="s">
        <v>49</v>
      </c>
      <c r="H58" s="6">
        <f>42/I58</f>
        <v>105</v>
      </c>
      <c r="I58" s="6">
        <f>1/20*8</f>
        <v>0.4</v>
      </c>
      <c r="J58" s="6"/>
      <c r="K58" s="8"/>
    </row>
    <row r="59" spans="2:11" ht="12.75" hidden="1">
      <c r="B59" s="7"/>
      <c r="C59" s="6"/>
      <c r="D59" s="1" t="s">
        <v>15</v>
      </c>
      <c r="E59" s="1">
        <f>E60/12</f>
        <v>2629800000</v>
      </c>
      <c r="F59" s="1"/>
      <c r="G59" s="88" t="s">
        <v>50</v>
      </c>
      <c r="H59" s="6">
        <f>84/I59</f>
        <v>105</v>
      </c>
      <c r="I59" s="6">
        <f>1/10*8</f>
        <v>0.8</v>
      </c>
      <c r="J59" s="6"/>
      <c r="K59" s="8"/>
    </row>
    <row r="60" spans="2:11" ht="12.75" hidden="1">
      <c r="B60" s="7"/>
      <c r="C60" s="6"/>
      <c r="D60" s="1" t="s">
        <v>16</v>
      </c>
      <c r="E60" s="1">
        <f>E58*365.25</f>
        <v>31557600000</v>
      </c>
      <c r="F60" s="1"/>
      <c r="G60" s="88" t="s">
        <v>54</v>
      </c>
      <c r="H60" s="6">
        <f>8.5/I60</f>
        <v>127.5</v>
      </c>
      <c r="I60" s="6">
        <f>1/120*8</f>
        <v>0.06666666666666667</v>
      </c>
      <c r="J60" s="6"/>
      <c r="K60" s="8"/>
    </row>
    <row r="61" spans="2:11" ht="13.5" hidden="1" thickBot="1">
      <c r="B61" s="39"/>
      <c r="C61" s="4"/>
      <c r="D61" s="2"/>
      <c r="E61" s="2"/>
      <c r="F61" s="2"/>
      <c r="G61" s="2"/>
      <c r="H61" s="4"/>
      <c r="I61" s="4"/>
      <c r="J61" s="4"/>
      <c r="K61" s="17"/>
    </row>
    <row r="62" spans="2:11" ht="12.75" outlineLevel="1">
      <c r="B62" s="107" t="s">
        <v>58</v>
      </c>
      <c r="C62" s="108"/>
      <c r="D62" s="108"/>
      <c r="E62" s="108"/>
      <c r="F62" s="108"/>
      <c r="G62" s="108"/>
      <c r="H62" s="108"/>
      <c r="I62" s="108"/>
      <c r="J62" s="108"/>
      <c r="K62" s="109"/>
    </row>
    <row r="63" spans="2:11" ht="12.75" customHeight="1" outlineLevel="1">
      <c r="B63" s="110"/>
      <c r="C63" s="136"/>
      <c r="D63" s="136"/>
      <c r="E63" s="135" t="s">
        <v>45</v>
      </c>
      <c r="F63" s="135" t="s">
        <v>59</v>
      </c>
      <c r="G63" s="135" t="s">
        <v>60</v>
      </c>
      <c r="H63" s="135" t="s">
        <v>61</v>
      </c>
      <c r="I63" s="135" t="s">
        <v>62</v>
      </c>
      <c r="J63" s="135" t="s">
        <v>63</v>
      </c>
      <c r="K63" s="109"/>
    </row>
    <row r="64" spans="2:11" ht="12.75" outlineLevel="1">
      <c r="B64" s="110"/>
      <c r="C64" s="108" t="s">
        <v>78</v>
      </c>
      <c r="D64" s="108"/>
      <c r="E64" s="114" t="s">
        <v>77</v>
      </c>
      <c r="F64" s="114" t="s">
        <v>77</v>
      </c>
      <c r="G64" s="115">
        <v>0.02</v>
      </c>
      <c r="H64" s="115">
        <v>0.026</v>
      </c>
      <c r="I64" s="115">
        <v>0.026</v>
      </c>
      <c r="J64" s="115">
        <v>0.01</v>
      </c>
      <c r="K64" s="109"/>
    </row>
    <row r="65" spans="2:11" ht="12.75" outlineLevel="1">
      <c r="B65" s="110"/>
      <c r="C65" s="108" t="s">
        <v>69</v>
      </c>
      <c r="D65" s="108"/>
      <c r="E65" s="115" t="s">
        <v>67</v>
      </c>
      <c r="F65" s="115" t="s">
        <v>67</v>
      </c>
      <c r="G65" s="115">
        <v>1</v>
      </c>
      <c r="H65" s="115">
        <v>1</v>
      </c>
      <c r="I65" s="115">
        <v>1</v>
      </c>
      <c r="J65" s="115">
        <v>10</v>
      </c>
      <c r="K65" s="109"/>
    </row>
    <row r="66" spans="2:11" ht="12.75" outlineLevel="1">
      <c r="B66" s="110"/>
      <c r="C66" s="108" t="s">
        <v>64</v>
      </c>
      <c r="D66" s="108"/>
      <c r="E66" s="115">
        <v>0.05</v>
      </c>
      <c r="F66" s="115">
        <v>0.05</v>
      </c>
      <c r="G66" s="115">
        <v>76</v>
      </c>
      <c r="H66" s="115">
        <v>76</v>
      </c>
      <c r="I66" s="115">
        <v>76</v>
      </c>
      <c r="J66" s="115">
        <v>0.8</v>
      </c>
      <c r="K66" s="109"/>
    </row>
    <row r="67" spans="2:11" ht="12.75" outlineLevel="1">
      <c r="B67" s="110"/>
      <c r="C67" s="108" t="s">
        <v>71</v>
      </c>
      <c r="D67" s="108"/>
      <c r="E67" s="115">
        <v>30</v>
      </c>
      <c r="F67" s="115">
        <v>30</v>
      </c>
      <c r="G67" s="115">
        <v>100</v>
      </c>
      <c r="H67" s="115">
        <v>100</v>
      </c>
      <c r="I67" s="115">
        <v>100</v>
      </c>
      <c r="J67" s="134" t="s">
        <v>72</v>
      </c>
      <c r="K67" s="109"/>
    </row>
    <row r="68" spans="2:11" ht="12.75" outlineLevel="1">
      <c r="B68" s="110"/>
      <c r="C68" s="108" t="s">
        <v>65</v>
      </c>
      <c r="D68" s="108"/>
      <c r="E68" s="115">
        <v>50</v>
      </c>
      <c r="F68" s="115">
        <v>55</v>
      </c>
      <c r="G68" s="115">
        <v>45</v>
      </c>
      <c r="H68" s="115">
        <v>50</v>
      </c>
      <c r="I68" s="115">
        <v>50</v>
      </c>
      <c r="J68" s="115">
        <v>80</v>
      </c>
      <c r="K68" s="109"/>
    </row>
    <row r="69" spans="2:11" ht="12.75" outlineLevel="1">
      <c r="B69" s="110"/>
      <c r="C69" s="108" t="s">
        <v>66</v>
      </c>
      <c r="D69" s="108"/>
      <c r="E69" s="115">
        <v>45</v>
      </c>
      <c r="F69" s="115">
        <v>270</v>
      </c>
      <c r="G69" s="115">
        <v>55</v>
      </c>
      <c r="H69" s="115">
        <v>150</v>
      </c>
      <c r="I69" s="115">
        <v>150</v>
      </c>
      <c r="J69" s="115" t="s">
        <v>68</v>
      </c>
      <c r="K69" s="109"/>
    </row>
    <row r="70" spans="2:11" ht="12.75" outlineLevel="1">
      <c r="B70" s="110"/>
      <c r="C70" s="108"/>
      <c r="D70" s="108"/>
      <c r="E70" s="108"/>
      <c r="F70" s="108"/>
      <c r="G70" s="108"/>
      <c r="H70" s="108"/>
      <c r="I70" s="108"/>
      <c r="J70" s="108"/>
      <c r="K70" s="109"/>
    </row>
    <row r="71" spans="2:11" ht="13.5" outlineLevel="1" thickBot="1">
      <c r="B71" s="111"/>
      <c r="C71" s="112"/>
      <c r="D71" s="112"/>
      <c r="E71" s="112"/>
      <c r="F71" s="112"/>
      <c r="G71" s="112"/>
      <c r="H71" s="112"/>
      <c r="I71" s="112"/>
      <c r="J71" s="112"/>
      <c r="K71" s="113"/>
    </row>
    <row r="72" ht="12.75">
      <c r="B72" s="77"/>
    </row>
  </sheetData>
  <sheetProtection sheet="1" objects="1" scenarios="1" formatCells="0" formatColumns="0" formatRows="0" selectLockedCells="1"/>
  <mergeCells count="8">
    <mergeCell ref="C50:J50"/>
    <mergeCell ref="C51:J51"/>
    <mergeCell ref="B5:E9"/>
    <mergeCell ref="B11:K13"/>
    <mergeCell ref="C46:J46"/>
    <mergeCell ref="C47:J47"/>
    <mergeCell ref="C48:J48"/>
    <mergeCell ref="C49:J49"/>
  </mergeCells>
  <conditionalFormatting sqref="F32:J32">
    <cfRule type="cellIs" priority="1" dxfId="0" operator="greaterThan" stopIfTrue="1">
      <formula>1</formula>
    </cfRule>
    <cfRule type="cellIs" priority="2" dxfId="1" operator="lessThanOrEqual" stopIfTrue="1">
      <formula>1</formula>
    </cfRule>
  </conditionalFormatting>
  <dataValidations count="4">
    <dataValidation type="list" allowBlank="1" showInputMessage="1" showErrorMessage="1" sqref="D39 D16">
      <formula1>$D$54:$D$60</formula1>
    </dataValidation>
    <dataValidation type="list" allowBlank="1" showInputMessage="1" showErrorMessage="1" sqref="F19:J19">
      <formula1>$G$54:$G$60</formula1>
    </dataValidation>
    <dataValidation errorStyle="information" type="decimal" operator="greaterThan" allowBlank="1" showErrorMessage="1" errorTitle="Invalid entry" error="Power system efficiency is typically between 50% and 95%." sqref="E37:J37">
      <formula1>0</formula1>
    </dataValidation>
    <dataValidation errorStyle="information" type="list" allowBlank="1" showErrorMessage="1" errorTitle="Invalid input" error="Please select a modem type from the drop down menu." sqref="E19">
      <formula1>$G$54:$G$60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portrait" paperSize="9" scale="89" r:id="rId4"/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MaxStream,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Battery Life Calculator</dc:title>
  <dc:subject/>
  <dc:creator>Jan Finlinson</dc:creator>
  <cp:keywords/>
  <dc:description/>
  <cp:lastModifiedBy>Jan Finlinson</cp:lastModifiedBy>
  <cp:lastPrinted>2005-07-20T20:27:30Z</cp:lastPrinted>
  <dcterms:created xsi:type="dcterms:W3CDTF">2005-03-11T19:37:05Z</dcterms:created>
  <dcterms:modified xsi:type="dcterms:W3CDTF">2005-09-15T19:51:37Z</dcterms:modified>
  <cp:category/>
  <cp:version/>
  <cp:contentType/>
  <cp:contentStatus/>
</cp:coreProperties>
</file>